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<sst xmlns="http://schemas.openxmlformats.org/spreadsheetml/2006/main" count="171" uniqueCount="123">
  <si>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</si>
  <si>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</si>
  <si>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</si>
  <si>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</si>
  <si>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</si>
  <si>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</si>
  <si>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</si>
  <si>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</si>
  <si>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</si>
  <si>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</si>
  <si>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</si>
  <si>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</si>
  <si>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</si>
  <si>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</si>
  <si>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</si>
  <si>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</si>
  <si>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</si>
  <si>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</si>
  <si>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</si>
  <si>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</si>
  <si>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</si>
  <si>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</si>
  <si>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</si>
  <si>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</si>
  <si>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</si>
  <si>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</si>
  <si>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</si>
  <si>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</si>
  <si>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</si>
  <si>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</si>
  <si>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</si>
  <si>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</si>
  <si>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</si>
  <si>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</si>
  <si>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</si>
  <si>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</si>
  <si>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</si>
  <si>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</si>
  <si>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</si>
  <si>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</si>
  <si>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</si>
  <si>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</si>
  <si>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</si>
  <si>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</si>
  <si>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</si>
  <si>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</si>
  <si>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</si>
  <si>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</si>
  <si>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</si>
  <si>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</si>
  <si>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</si>
  <si>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</si>
  <si>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</si>
  <si>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</si>
  <si>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</si>
  <si>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</si>
  <si>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</si>
  <si>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</si>
  <si>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</si>
  <si>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</si>
  <si>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</si>
  <si>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</si>
  <si>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</si>
  <si>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</si>
  <si>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</si>
  <si>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</si>
  <si>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</si>
  <si>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</si>
  <si>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</si>
  <si>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</si>
  <si>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</si>
  <si>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</si>
  <si>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</si>
  <si>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</si>
  <si>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</si>
  <si>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</si>
  <si>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</si>
  <si>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</si>
  <si>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</si>
  <si>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</si>
  <si>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</si>
  <si>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</si>
  <si>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</si>
  <si>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</si>
  <si>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</si>
  <si>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</si>
  <si>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</si>
  <si>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</si>
  <si>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</si>
  <si>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</si>
  <si>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</si>
  <si>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</si>
  <si>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</si>
  <si>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</si>
  <si>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</si>
  <si>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</si>
  <si>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</si>
  <si>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</si>
  <si>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</si>
  <si>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</si>
  <si>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</si>
  <si>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</si>
  <si>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</si>
  <si>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</si>
  <si>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</si>
  <si>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</si>
  <si>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</si>
  <si>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</si>
  <si>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</si>
  <si>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</si>
  <si>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</si>
  <si>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</si>
  <si>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</si>
  <si>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</si>
  <si>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</si>
  <si>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</si>
  <si>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</si>
  <si>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</si>
  <si>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</si>
  <si>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</si>
  <si>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</si>
  <si>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</si>
  <si>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2016 рік станом на 19.04.2016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</si>
</sst>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18718556"/>
        <c:axId val="34249277"/>
      </c:bar3D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49277"/>
        <c:crosses val="autoZero"/>
        <c:auto val="1"/>
        <c:lblOffset val="100"/>
        <c:tickLblSkip val="1"/>
        <c:noMultiLvlLbl val="0"/>
      </c:catAx>
      <c:valAx>
        <c:axId val="34249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185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39808038"/>
        <c:axId val="22728023"/>
      </c:bar3D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28023"/>
        <c:crosses val="autoZero"/>
        <c:auto val="1"/>
        <c:lblOffset val="100"/>
        <c:tickLblSkip val="1"/>
        <c:noMultiLvlLbl val="0"/>
      </c:catAx>
      <c:valAx>
        <c:axId val="22728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3225616"/>
        <c:axId val="29030545"/>
      </c:bar3DChart>
      <c:catAx>
        <c:axId val="322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30545"/>
        <c:crosses val="autoZero"/>
        <c:auto val="1"/>
        <c:lblOffset val="100"/>
        <c:tickLblSkip val="1"/>
        <c:noMultiLvlLbl val="0"/>
      </c:catAx>
      <c:valAx>
        <c:axId val="29030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6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59948314"/>
        <c:axId val="2663915"/>
      </c:bar3D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3915"/>
        <c:crosses val="autoZero"/>
        <c:auto val="1"/>
        <c:lblOffset val="100"/>
        <c:tickLblSkip val="1"/>
        <c:noMultiLvlLbl val="0"/>
      </c:catAx>
      <c:valAx>
        <c:axId val="2663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83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23975236"/>
        <c:axId val="14450533"/>
      </c:bar3D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50533"/>
        <c:crosses val="autoZero"/>
        <c:auto val="1"/>
        <c:lblOffset val="100"/>
        <c:tickLblSkip val="2"/>
        <c:noMultiLvlLbl val="0"/>
      </c:catAx>
      <c:valAx>
        <c:axId val="14450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5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62945934"/>
        <c:axId val="29642495"/>
      </c:bar3D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42495"/>
        <c:crosses val="autoZero"/>
        <c:auto val="1"/>
        <c:lblOffset val="100"/>
        <c:tickLblSkip val="1"/>
        <c:noMultiLvlLbl val="0"/>
      </c:catAx>
      <c:valAx>
        <c:axId val="29642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9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65455864"/>
        <c:axId val="52231865"/>
      </c:bar3D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231865"/>
        <c:crosses val="autoZero"/>
        <c:auto val="1"/>
        <c:lblOffset val="100"/>
        <c:tickLblSkip val="1"/>
        <c:noMultiLvlLbl val="0"/>
      </c:catAx>
      <c:valAx>
        <c:axId val="52231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55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324738"/>
        <c:axId val="2922643"/>
      </c:bar3DChart>
      <c:catAx>
        <c:axId val="32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2643"/>
        <c:crosses val="autoZero"/>
        <c:auto val="1"/>
        <c:lblOffset val="100"/>
        <c:tickLblSkip val="1"/>
        <c:noMultiLvlLbl val="0"/>
      </c:catAx>
      <c:valAx>
        <c:axId val="2922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26303788"/>
        <c:axId val="35407501"/>
      </c:bar3D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07501"/>
        <c:crosses val="autoZero"/>
        <c:auto val="1"/>
        <c:lblOffset val="100"/>
        <c:tickLblSkip val="1"/>
        <c:noMultiLvlLbl val="0"/>
      </c:catAx>
      <c:valAx>
        <c:axId val="35407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03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149054.8+1100.6</f>
        <v>150155.4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</f>
        <v>117539.40000000002</v>
      </c>
      <c r="E6" s="3">
        <f>D6/D149*100</f>
        <v>36.730167202174464</v>
      </c>
      <c r="F6" s="3">
        <f>D6/B6*100</f>
        <v>78.27850347040469</v>
      </c>
      <c r="G6" s="3">
        <f aca="true" t="shared" si="0" ref="G6:G43">D6/C6*100</f>
        <v>27.386498298878305</v>
      </c>
      <c r="H6" s="51">
        <f>B6-D6</f>
        <v>32615.99999999997</v>
      </c>
      <c r="I6" s="51">
        <f aca="true" t="shared" si="1" ref="I6:I43">C6-D6</f>
        <v>311648</v>
      </c>
    </row>
    <row r="7" spans="1:9" s="41" customFormat="1" ht="18.75">
      <c r="A7" s="112" t="s">
        <v>98</v>
      </c>
      <c r="B7" s="105">
        <f>54431.8+1100.6</f>
        <v>55532.4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</f>
        <v>46487</v>
      </c>
      <c r="E7" s="103">
        <f>D7/D6*100</f>
        <v>39.55014233525098</v>
      </c>
      <c r="F7" s="103">
        <f>D7/B7*100</f>
        <v>83.71149094942771</v>
      </c>
      <c r="G7" s="103">
        <f>D7/C7*100</f>
        <v>24.737878109795588</v>
      </c>
      <c r="H7" s="113">
        <f>B7-D7</f>
        <v>9045.400000000001</v>
      </c>
      <c r="I7" s="113">
        <f t="shared" si="1"/>
        <v>141431.3</v>
      </c>
    </row>
    <row r="8" spans="1:9" ht="18">
      <c r="A8" s="26" t="s">
        <v>3</v>
      </c>
      <c r="B8" s="46">
        <v>94028.7</v>
      </c>
      <c r="C8" s="47">
        <v>298081.6</v>
      </c>
      <c r="D8" s="48">
        <f>3665.2+5419.3+4645.9+6727.5+3.3+4022.1+5553.6+3348.6+2163.6+10156.4+7.2+0.6+10315.5+1+3228.6+8514.3+1326+3.5+12.8+5216.4+5594.6</f>
        <v>79926</v>
      </c>
      <c r="E8" s="1">
        <f>D8/D6*100</f>
        <v>67.99932618339041</v>
      </c>
      <c r="F8" s="1">
        <f>D8/B8*100</f>
        <v>85.00170692565142</v>
      </c>
      <c r="G8" s="1">
        <f t="shared" si="0"/>
        <v>26.813463159081273</v>
      </c>
      <c r="H8" s="48">
        <f>B8-D8</f>
        <v>14102.699999999997</v>
      </c>
      <c r="I8" s="48">
        <f t="shared" si="1"/>
        <v>218155.59999999998</v>
      </c>
    </row>
    <row r="9" spans="1:9" ht="18">
      <c r="A9" s="26" t="s">
        <v>2</v>
      </c>
      <c r="B9" s="46">
        <v>32.9</v>
      </c>
      <c r="C9" s="47">
        <v>85.7</v>
      </c>
      <c r="D9" s="48">
        <f>4+2.9+1.6+0.5+0.5+1.9+1.2+1.8</f>
        <v>14.4</v>
      </c>
      <c r="E9" s="12">
        <f>D9/D6*100</f>
        <v>0.01225121108326229</v>
      </c>
      <c r="F9" s="128">
        <f>D9/B9*100</f>
        <v>43.76899696048632</v>
      </c>
      <c r="G9" s="1">
        <f t="shared" si="0"/>
        <v>16.802800466744458</v>
      </c>
      <c r="H9" s="48">
        <f aca="true" t="shared" si="2" ref="H9:H43">B9-D9</f>
        <v>18.5</v>
      </c>
      <c r="I9" s="48">
        <f t="shared" si="1"/>
        <v>71.3</v>
      </c>
    </row>
    <row r="10" spans="1:9" ht="18">
      <c r="A10" s="26" t="s">
        <v>1</v>
      </c>
      <c r="B10" s="46">
        <v>13203.9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</f>
        <v>7957.000000000001</v>
      </c>
      <c r="E10" s="1">
        <f>D10/D6*100</f>
        <v>6.7696449020498655</v>
      </c>
      <c r="F10" s="1">
        <f aca="true" t="shared" si="3" ref="F10:F41">D10/B10*100</f>
        <v>60.26249820128902</v>
      </c>
      <c r="G10" s="1">
        <f t="shared" si="0"/>
        <v>28.36426893476254</v>
      </c>
      <c r="H10" s="48">
        <f t="shared" si="2"/>
        <v>5246.899999999999</v>
      </c>
      <c r="I10" s="48">
        <f t="shared" si="1"/>
        <v>20095.9</v>
      </c>
    </row>
    <row r="11" spans="1:9" ht="18">
      <c r="A11" s="26" t="s">
        <v>0</v>
      </c>
      <c r="B11" s="46">
        <v>31944.4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435.2+111+615.5+123.2+0.2+1.9+63.8+2790+1.3+13.9+1170.1+0.8+3680.6+96.8+2.2+30.4+160.1+658.7+3.6+0.1+13.6+960.9+1669.6+874.3+1539.2+231.8+2136.6+6.8+729.7+312.8+219.9+145.7+390.2+1017.2+39.8+0.1+21+264.2+174.1+1212.5+1346.4+409.3</f>
        <v>23675.100000000002</v>
      </c>
      <c r="E11" s="1">
        <f>D11/D6*100</f>
        <v>20.142267188704384</v>
      </c>
      <c r="F11" s="1">
        <f t="shared" si="3"/>
        <v>74.11345963611777</v>
      </c>
      <c r="G11" s="1">
        <f t="shared" si="0"/>
        <v>33.040494146937824</v>
      </c>
      <c r="H11" s="48">
        <f t="shared" si="2"/>
        <v>8269.3</v>
      </c>
      <c r="I11" s="48">
        <f t="shared" si="1"/>
        <v>47979.7</v>
      </c>
    </row>
    <row r="12" spans="1:9" ht="18">
      <c r="A12" s="26" t="s">
        <v>15</v>
      </c>
      <c r="B12" s="46">
        <v>4804.5</v>
      </c>
      <c r="C12" s="47">
        <v>14712</v>
      </c>
      <c r="D12" s="48">
        <f>5+12.7+3.8+1250.6+160.8+241+218.1+277.6+20.3+413.8+8.3+240.5+24.8+2.5+338+212.8+1.2+3.8+19.1+33.1</f>
        <v>3487.8000000000006</v>
      </c>
      <c r="E12" s="1">
        <f>D12/D6*100</f>
        <v>2.9673454177918215</v>
      </c>
      <c r="F12" s="1">
        <f t="shared" si="3"/>
        <v>72.59444270995942</v>
      </c>
      <c r="G12" s="1">
        <f t="shared" si="0"/>
        <v>23.707177814029368</v>
      </c>
      <c r="H12" s="48">
        <f t="shared" si="2"/>
        <v>1316.6999999999994</v>
      </c>
      <c r="I12" s="48">
        <f t="shared" si="1"/>
        <v>11224.199999999999</v>
      </c>
    </row>
    <row r="13" spans="1:9" ht="18.75" thickBot="1">
      <c r="A13" s="26" t="s">
        <v>34</v>
      </c>
      <c r="B13" s="47">
        <f>B6-B8-B9-B10-B11-B12</f>
        <v>6140.999999999993</v>
      </c>
      <c r="C13" s="47">
        <f>C6-C8-C9-C10-C11-C12</f>
        <v>16600.400000000038</v>
      </c>
      <c r="D13" s="47">
        <f>D6-D8-D9-D10-D11-D12</f>
        <v>2479.100000000019</v>
      </c>
      <c r="E13" s="1">
        <f>D13/D6*100</f>
        <v>2.1091650969802624</v>
      </c>
      <c r="F13" s="1">
        <f t="shared" si="3"/>
        <v>40.369646637355835</v>
      </c>
      <c r="G13" s="1">
        <f t="shared" si="0"/>
        <v>14.933977494518286</v>
      </c>
      <c r="H13" s="48">
        <f t="shared" si="2"/>
        <v>3661.8999999999737</v>
      </c>
      <c r="I13" s="48">
        <f t="shared" si="1"/>
        <v>14121.30000000002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83225.4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</f>
        <v>66843.59999999999</v>
      </c>
      <c r="E18" s="3">
        <f>D18/D149*100</f>
        <v>20.888115852176107</v>
      </c>
      <c r="F18" s="3">
        <f>D18/B18*100</f>
        <v>80.31634573099078</v>
      </c>
      <c r="G18" s="3">
        <f t="shared" si="0"/>
        <v>26.317269009895604</v>
      </c>
      <c r="H18" s="51">
        <f>B18-D18</f>
        <v>16381.800000000003</v>
      </c>
      <c r="I18" s="51">
        <f t="shared" si="1"/>
        <v>187147.8</v>
      </c>
    </row>
    <row r="19" spans="1:9" s="41" customFormat="1" ht="18.75">
      <c r="A19" s="112" t="s">
        <v>99</v>
      </c>
      <c r="B19" s="105">
        <v>59701.3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</f>
        <v>51696.59999999999</v>
      </c>
      <c r="E19" s="103">
        <f>D19/D18*100</f>
        <v>77.33964059386388</v>
      </c>
      <c r="F19" s="103">
        <f t="shared" si="3"/>
        <v>86.59208425947172</v>
      </c>
      <c r="G19" s="103">
        <f t="shared" si="0"/>
        <v>27.07478789148423</v>
      </c>
      <c r="H19" s="113">
        <f t="shared" si="2"/>
        <v>8004.700000000012</v>
      </c>
      <c r="I19" s="113">
        <f t="shared" si="1"/>
        <v>139243.40000000002</v>
      </c>
    </row>
    <row r="20" spans="1:9" ht="18">
      <c r="A20" s="26" t="s">
        <v>5</v>
      </c>
      <c r="B20" s="46">
        <v>60012.7</v>
      </c>
      <c r="C20" s="47">
        <v>186641.3</v>
      </c>
      <c r="D20" s="48">
        <f>5722.2+1+8655.9+32.9+2.4+5725.7+8251+357.7+0.1+5829.5+27.9+3957+4812.9+26.7+6036.7</f>
        <v>49439.59999999999</v>
      </c>
      <c r="E20" s="1">
        <f>D20/D18*100</f>
        <v>73.96310192748446</v>
      </c>
      <c r="F20" s="1">
        <f t="shared" si="3"/>
        <v>82.38189583204887</v>
      </c>
      <c r="G20" s="1">
        <f t="shared" si="0"/>
        <v>26.489099679438578</v>
      </c>
      <c r="H20" s="48">
        <f t="shared" si="2"/>
        <v>10573.100000000006</v>
      </c>
      <c r="I20" s="48">
        <f t="shared" si="1"/>
        <v>137201.7</v>
      </c>
    </row>
    <row r="21" spans="1:9" ht="18">
      <c r="A21" s="26" t="s">
        <v>2</v>
      </c>
      <c r="B21" s="46">
        <v>7784.7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</f>
        <v>4947.899999999999</v>
      </c>
      <c r="E21" s="1">
        <f>D21/D18*100</f>
        <v>7.402204549126617</v>
      </c>
      <c r="F21" s="1">
        <f t="shared" si="3"/>
        <v>63.5592893753131</v>
      </c>
      <c r="G21" s="1">
        <f t="shared" si="0"/>
        <v>23.613039930133002</v>
      </c>
      <c r="H21" s="48">
        <f t="shared" si="2"/>
        <v>2836.800000000001</v>
      </c>
      <c r="I21" s="48">
        <f t="shared" si="1"/>
        <v>16006.2</v>
      </c>
    </row>
    <row r="22" spans="1:9" ht="18">
      <c r="A22" s="26" t="s">
        <v>1</v>
      </c>
      <c r="B22" s="46">
        <v>1297</v>
      </c>
      <c r="C22" s="47">
        <v>3917.9</v>
      </c>
      <c r="D22" s="48">
        <f>127.7+23.6+33.5+86.7+19.5+2.9+68.3+78.1+10.6+165.4+2.5+15.8+6.5+60.2+104.3+141.7+2.3+23.7+90.2+22.1</f>
        <v>1085.6</v>
      </c>
      <c r="E22" s="1">
        <f>D22/D18*100</f>
        <v>1.6240896660263662</v>
      </c>
      <c r="F22" s="1">
        <f t="shared" si="3"/>
        <v>83.70084811102544</v>
      </c>
      <c r="G22" s="1">
        <f t="shared" si="0"/>
        <v>27.70872150897164</v>
      </c>
      <c r="H22" s="48">
        <f t="shared" si="2"/>
        <v>211.4000000000001</v>
      </c>
      <c r="I22" s="48">
        <f t="shared" si="1"/>
        <v>2832.3</v>
      </c>
    </row>
    <row r="23" spans="1:9" ht="18">
      <c r="A23" s="26" t="s">
        <v>0</v>
      </c>
      <c r="B23" s="46">
        <v>11619.2</v>
      </c>
      <c r="C23" s="47">
        <v>27804.4</v>
      </c>
      <c r="D23" s="48">
        <f>230.7+158.8+520.8+110.9+465.7+246.3+3.9+169.6+1975.3+126.5+2+97.4+199.5+165.4+184.4+1288.4+1114.2+20.1+11.6+1104.8+1285.8+113</f>
        <v>9595.099999999999</v>
      </c>
      <c r="E23" s="1">
        <f>D23/D18*100</f>
        <v>14.354553016294751</v>
      </c>
      <c r="F23" s="1">
        <f t="shared" si="3"/>
        <v>82.57969567612227</v>
      </c>
      <c r="G23" s="1">
        <f t="shared" si="0"/>
        <v>34.50928630001006</v>
      </c>
      <c r="H23" s="48">
        <f t="shared" si="2"/>
        <v>2024.1000000000022</v>
      </c>
      <c r="I23" s="48">
        <f t="shared" si="1"/>
        <v>18209.300000000003</v>
      </c>
    </row>
    <row r="24" spans="1:9" ht="18">
      <c r="A24" s="26" t="s">
        <v>15</v>
      </c>
      <c r="B24" s="46">
        <v>529.8</v>
      </c>
      <c r="C24" s="47">
        <v>1591.6</v>
      </c>
      <c r="D24" s="48">
        <f>73.6+22.6+5.3+2.4+2.5+128.1+0.1+11.5+121.2+11.2-0.1+27.3+71.1</f>
        <v>476.79999999999995</v>
      </c>
      <c r="E24" s="1">
        <f>D24/D18*100</f>
        <v>0.7133068835311085</v>
      </c>
      <c r="F24" s="1">
        <f t="shared" si="3"/>
        <v>89.99622499056248</v>
      </c>
      <c r="G24" s="1">
        <f t="shared" si="0"/>
        <v>29.957275697411408</v>
      </c>
      <c r="H24" s="48">
        <f t="shared" si="2"/>
        <v>53</v>
      </c>
      <c r="I24" s="48">
        <f t="shared" si="1"/>
        <v>1114.8</v>
      </c>
    </row>
    <row r="25" spans="1:9" ht="18.75" thickBot="1">
      <c r="A25" s="26" t="s">
        <v>34</v>
      </c>
      <c r="B25" s="47">
        <f>B18-B20-B21-B22-B23-B24</f>
        <v>1981.9999999999957</v>
      </c>
      <c r="C25" s="47">
        <f>C18-C20-C21-C22-C23-C24</f>
        <v>13082.100000000004</v>
      </c>
      <c r="D25" s="47">
        <f>D18-D20-D21-D22-D23-D24</f>
        <v>1298.6000000000033</v>
      </c>
      <c r="E25" s="1">
        <f>D25/D18*100</f>
        <v>1.942743957536703</v>
      </c>
      <c r="F25" s="1">
        <f t="shared" si="3"/>
        <v>65.5196770938449</v>
      </c>
      <c r="G25" s="1">
        <f t="shared" si="0"/>
        <v>9.92654084588868</v>
      </c>
      <c r="H25" s="48">
        <f t="shared" si="2"/>
        <v>683.3999999999924</v>
      </c>
      <c r="I25" s="48">
        <f t="shared" si="1"/>
        <v>11783.5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16896.7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</f>
        <v>13461.3</v>
      </c>
      <c r="E33" s="3">
        <f>D33/D149*100</f>
        <v>4.206553715253191</v>
      </c>
      <c r="F33" s="3">
        <f>D33/B33*100</f>
        <v>79.66821923807606</v>
      </c>
      <c r="G33" s="3">
        <f t="shared" si="0"/>
        <v>26.769851228887966</v>
      </c>
      <c r="H33" s="51">
        <f t="shared" si="2"/>
        <v>3435.4000000000015</v>
      </c>
      <c r="I33" s="51">
        <f t="shared" si="1"/>
        <v>36824</v>
      </c>
    </row>
    <row r="34" spans="1:9" ht="18">
      <c r="A34" s="26" t="s">
        <v>3</v>
      </c>
      <c r="B34" s="46">
        <v>10922.5</v>
      </c>
      <c r="C34" s="47">
        <v>35016.6</v>
      </c>
      <c r="D34" s="48">
        <f>1335+1268.2+1354.9+1304.2+1357+1359.6+1365.6</f>
        <v>9344.5</v>
      </c>
      <c r="E34" s="1">
        <f>D34/D33*100</f>
        <v>69.41751539598701</v>
      </c>
      <c r="F34" s="1">
        <f t="shared" si="3"/>
        <v>85.55275806820782</v>
      </c>
      <c r="G34" s="1">
        <f t="shared" si="0"/>
        <v>26.68591468046584</v>
      </c>
      <c r="H34" s="48">
        <f t="shared" si="2"/>
        <v>1578</v>
      </c>
      <c r="I34" s="48">
        <f t="shared" si="1"/>
        <v>25672.1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1754.3</v>
      </c>
      <c r="C36" s="47">
        <v>3384.4</v>
      </c>
      <c r="D36" s="48">
        <f>10.5+61.2+112+1.1+10.5+29.3+0.6+6.8+9.7+3.4+19.2+41.9-0.2+31.7+187.3+26+0.6+2.4+24.9+11.7+8.1+0.1+179+19+1+1.3+0.4+1.8</f>
        <v>801.3</v>
      </c>
      <c r="E36" s="1">
        <f>D36/D33*100</f>
        <v>5.952619732120969</v>
      </c>
      <c r="F36" s="1">
        <f t="shared" si="3"/>
        <v>45.67633814056889</v>
      </c>
      <c r="G36" s="1">
        <f t="shared" si="0"/>
        <v>23.676279399598155</v>
      </c>
      <c r="H36" s="48">
        <f t="shared" si="2"/>
        <v>953</v>
      </c>
      <c r="I36" s="48">
        <f t="shared" si="1"/>
        <v>2583.1000000000004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0.5831531872850318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20.4</v>
      </c>
      <c r="C38" s="47">
        <v>60.8</v>
      </c>
      <c r="D38" s="47">
        <f>5.1+5.1+5.1</f>
        <v>15.299999999999999</v>
      </c>
      <c r="E38" s="1">
        <f>D38/D33*100</f>
        <v>0.11365915624791069</v>
      </c>
      <c r="F38" s="1">
        <f t="shared" si="3"/>
        <v>75</v>
      </c>
      <c r="G38" s="1">
        <f t="shared" si="0"/>
        <v>25.164473684210524</v>
      </c>
      <c r="H38" s="48">
        <f t="shared" si="2"/>
        <v>5.1</v>
      </c>
      <c r="I38" s="48">
        <f t="shared" si="1"/>
        <v>45.5</v>
      </c>
    </row>
    <row r="39" spans="1:9" ht="18.75" thickBot="1">
      <c r="A39" s="26" t="s">
        <v>34</v>
      </c>
      <c r="B39" s="46">
        <f>B33-B34-B36-B37-B35-B38</f>
        <v>4108.400000000001</v>
      </c>
      <c r="C39" s="46">
        <f>C33-C34-C36-C37-C35-C38</f>
        <v>10894.199999999999</v>
      </c>
      <c r="D39" s="46">
        <f>D33-D34-D36-D37-D35-D38</f>
        <v>3221.699999999999</v>
      </c>
      <c r="E39" s="1">
        <f>D39/D33*100</f>
        <v>23.933052528359067</v>
      </c>
      <c r="F39" s="1">
        <f t="shared" si="3"/>
        <v>78.41738876448248</v>
      </c>
      <c r="G39" s="1">
        <f t="shared" si="0"/>
        <v>29.572616621688596</v>
      </c>
      <c r="H39" s="48">
        <f>B39-D39</f>
        <v>886.7000000000016</v>
      </c>
      <c r="I39" s="48">
        <f t="shared" si="1"/>
        <v>7672.5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339.1+9</f>
        <v>348.1</v>
      </c>
      <c r="C43" s="50">
        <f>829.5+61+9</f>
        <v>899.5</v>
      </c>
      <c r="D43" s="51">
        <f>22.2+3+5+12.1+5.3+62.1+8.7+22.7+11.7+44.1-0.1+8.7+8.3+9+2</f>
        <v>224.79999999999998</v>
      </c>
      <c r="E43" s="3">
        <f>D43/D149*100</f>
        <v>0.07024828769798737</v>
      </c>
      <c r="F43" s="3">
        <f>D43/B43*100</f>
        <v>64.57914392415971</v>
      </c>
      <c r="G43" s="3">
        <f t="shared" si="0"/>
        <v>24.991662034463587</v>
      </c>
      <c r="H43" s="51">
        <f t="shared" si="2"/>
        <v>123.30000000000004</v>
      </c>
      <c r="I43" s="51">
        <f t="shared" si="1"/>
        <v>674.7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2579.3</v>
      </c>
      <c r="C45" s="50">
        <v>7741.6</v>
      </c>
      <c r="D45" s="51">
        <f>224.1+260.8+14.4+236.4+3.2+114.6+291.3+0.1+96+241.4+13.4+0.1+331+0.7-0.1+39.8+268.9+0.5</f>
        <v>2136.6</v>
      </c>
      <c r="E45" s="3">
        <f>D45/D149*100</f>
        <v>0.6676712255138783</v>
      </c>
      <c r="F45" s="3">
        <f>D45/B45*100</f>
        <v>82.83642848834954</v>
      </c>
      <c r="G45" s="3">
        <f aca="true" t="shared" si="4" ref="G45:G75">D45/C45*100</f>
        <v>27.598945954324684</v>
      </c>
      <c r="H45" s="51">
        <f>B45-D45</f>
        <v>442.7000000000003</v>
      </c>
      <c r="I45" s="51">
        <f aca="true" t="shared" si="5" ref="I45:I76">C45-D45</f>
        <v>5605</v>
      </c>
    </row>
    <row r="46" spans="1:9" ht="18">
      <c r="A46" s="26" t="s">
        <v>3</v>
      </c>
      <c r="B46" s="46">
        <v>2139.9</v>
      </c>
      <c r="C46" s="47">
        <v>6753.6</v>
      </c>
      <c r="D46" s="48">
        <f>224.1+258.6+235.3+288.8+241.4+328.6+224.6</f>
        <v>1801.4</v>
      </c>
      <c r="E46" s="1">
        <f>D46/D45*100</f>
        <v>84.31152298043621</v>
      </c>
      <c r="F46" s="1">
        <f aca="true" t="shared" si="6" ref="F46:F73">D46/B46*100</f>
        <v>84.18150380858918</v>
      </c>
      <c r="G46" s="1">
        <f t="shared" si="4"/>
        <v>26.673181710495143</v>
      </c>
      <c r="H46" s="48">
        <f aca="true" t="shared" si="7" ref="H46:H73">B46-D46</f>
        <v>338.5</v>
      </c>
      <c r="I46" s="48">
        <f t="shared" si="5"/>
        <v>4952.200000000001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0.037442665917813346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21.2</v>
      </c>
      <c r="C48" s="47">
        <v>70.7</v>
      </c>
      <c r="D48" s="48">
        <f>0.2+2.1+0.1+6.5+6.7</f>
        <v>15.600000000000001</v>
      </c>
      <c r="E48" s="1">
        <f>D48/D45*100</f>
        <v>0.7301319853973605</v>
      </c>
      <c r="F48" s="1">
        <f t="shared" si="6"/>
        <v>73.58490566037736</v>
      </c>
      <c r="G48" s="1">
        <f t="shared" si="4"/>
        <v>22.065063649222065</v>
      </c>
      <c r="H48" s="48">
        <f t="shared" si="7"/>
        <v>5.599999999999998</v>
      </c>
      <c r="I48" s="48">
        <f t="shared" si="5"/>
        <v>55.1</v>
      </c>
    </row>
    <row r="49" spans="1:9" ht="18">
      <c r="A49" s="26" t="s">
        <v>0</v>
      </c>
      <c r="B49" s="46">
        <v>311.5</v>
      </c>
      <c r="C49" s="47">
        <v>568.5</v>
      </c>
      <c r="D49" s="48">
        <f>2.2+2.5+0.8+112.4+2.2+0.1+69.1+4.4-0.1+35.2+27.4</f>
        <v>256.2</v>
      </c>
      <c r="E49" s="1">
        <f>D49/D45*100</f>
        <v>11.991013760179726</v>
      </c>
      <c r="F49" s="1">
        <f t="shared" si="6"/>
        <v>82.24719101123596</v>
      </c>
      <c r="G49" s="1">
        <f t="shared" si="4"/>
        <v>45.065963060686016</v>
      </c>
      <c r="H49" s="48">
        <f t="shared" si="7"/>
        <v>55.30000000000001</v>
      </c>
      <c r="I49" s="48">
        <f t="shared" si="5"/>
        <v>312.3</v>
      </c>
    </row>
    <row r="50" spans="1:9" ht="18.75" thickBot="1">
      <c r="A50" s="26" t="s">
        <v>34</v>
      </c>
      <c r="B50" s="47">
        <f>B45-B46-B49-B48-B47</f>
        <v>105.90000000000009</v>
      </c>
      <c r="C50" s="47">
        <f>C45-C46-C49-C48-C47</f>
        <v>347.5</v>
      </c>
      <c r="D50" s="47">
        <f>D45-D46-D49-D48-D47</f>
        <v>62.59999999999983</v>
      </c>
      <c r="E50" s="1">
        <f>D50/D45*100</f>
        <v>2.929888608068887</v>
      </c>
      <c r="F50" s="1">
        <f t="shared" si="6"/>
        <v>59.11237016052859</v>
      </c>
      <c r="G50" s="1">
        <f t="shared" si="4"/>
        <v>18.014388489208585</v>
      </c>
      <c r="H50" s="48">
        <f t="shared" si="7"/>
        <v>43.30000000000026</v>
      </c>
      <c r="I50" s="48">
        <f t="shared" si="5"/>
        <v>284.90000000000015</v>
      </c>
    </row>
    <row r="51" spans="1:9" ht="18.75" thickBot="1">
      <c r="A51" s="25" t="s">
        <v>4</v>
      </c>
      <c r="B51" s="49">
        <v>5297.9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</f>
        <v>3847.4</v>
      </c>
      <c r="E51" s="3">
        <f>D51/D149*100</f>
        <v>1.202283194347138</v>
      </c>
      <c r="F51" s="3">
        <f>D51/B51*100</f>
        <v>72.62122727873309</v>
      </c>
      <c r="G51" s="3">
        <f t="shared" si="4"/>
        <v>23.87835531419705</v>
      </c>
      <c r="H51" s="51">
        <f>B51-D51</f>
        <v>1450.4999999999995</v>
      </c>
      <c r="I51" s="51">
        <f t="shared" si="5"/>
        <v>12265.1</v>
      </c>
    </row>
    <row r="52" spans="1:9" ht="18">
      <c r="A52" s="26" t="s">
        <v>3</v>
      </c>
      <c r="B52" s="46">
        <v>3046.7</v>
      </c>
      <c r="C52" s="47">
        <v>10328.7</v>
      </c>
      <c r="D52" s="48">
        <f>8+294.9+437.7+298.5+423.7+297.9+451.2+294.5</f>
        <v>2506.3999999999996</v>
      </c>
      <c r="E52" s="1">
        <f>D52/D51*100</f>
        <v>65.14529292509226</v>
      </c>
      <c r="F52" s="1">
        <f t="shared" si="6"/>
        <v>82.26605835822365</v>
      </c>
      <c r="G52" s="1">
        <f t="shared" si="4"/>
        <v>24.266364595738082</v>
      </c>
      <c r="H52" s="48">
        <f t="shared" si="7"/>
        <v>540.3000000000002</v>
      </c>
      <c r="I52" s="48">
        <f t="shared" si="5"/>
        <v>7822.300000000001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87.8</v>
      </c>
      <c r="C54" s="47">
        <v>287</v>
      </c>
      <c r="D54" s="48">
        <f>1.3+0.7+2.1+1+1.3+7.6+7.5+6.3+0.4</f>
        <v>28.2</v>
      </c>
      <c r="E54" s="1">
        <f>D54/D51*100</f>
        <v>0.7329625201434734</v>
      </c>
      <c r="F54" s="1">
        <f t="shared" si="6"/>
        <v>32.11845102505695</v>
      </c>
      <c r="G54" s="1">
        <f t="shared" si="4"/>
        <v>9.825783972125436</v>
      </c>
      <c r="H54" s="48">
        <f t="shared" si="7"/>
        <v>59.599999999999994</v>
      </c>
      <c r="I54" s="48">
        <f t="shared" si="5"/>
        <v>258.8</v>
      </c>
    </row>
    <row r="55" spans="1:9" ht="18">
      <c r="A55" s="26" t="s">
        <v>0</v>
      </c>
      <c r="B55" s="46">
        <v>461.6</v>
      </c>
      <c r="C55" s="47">
        <v>933.1</v>
      </c>
      <c r="D55" s="48">
        <f>10.7+0.6+7.6+85.1+28.4+14.4+0.1+8.5+0.1+7+0.1+7.7+62.8+6+1.3+0.9+0.9+1+0.7+0.1+4.7+15.2+34.9</f>
        <v>298.79999999999995</v>
      </c>
      <c r="E55" s="1">
        <f>D55/D51*100</f>
        <v>7.766283724073399</v>
      </c>
      <c r="F55" s="1">
        <f t="shared" si="6"/>
        <v>64.73136915077988</v>
      </c>
      <c r="G55" s="1">
        <f t="shared" si="4"/>
        <v>32.022291287107485</v>
      </c>
      <c r="H55" s="48">
        <f t="shared" si="7"/>
        <v>162.80000000000007</v>
      </c>
      <c r="I55" s="48">
        <f t="shared" si="5"/>
        <v>634.3000000000001</v>
      </c>
    </row>
    <row r="56" spans="1:9" ht="18.75" thickBot="1">
      <c r="A56" s="26" t="s">
        <v>34</v>
      </c>
      <c r="B56" s="47">
        <f>B51-B52-B55-B54-B53</f>
        <v>1701.8</v>
      </c>
      <c r="C56" s="47">
        <f>C51-C52-C55-C54-C53</f>
        <v>4551.699999999999</v>
      </c>
      <c r="D56" s="47">
        <f>D51-D52-D55-D54-D53</f>
        <v>1014.0000000000005</v>
      </c>
      <c r="E56" s="1">
        <f>D56/D51*100</f>
        <v>26.35546083069087</v>
      </c>
      <c r="F56" s="1">
        <f t="shared" si="6"/>
        <v>59.58396991420851</v>
      </c>
      <c r="G56" s="1">
        <f t="shared" si="4"/>
        <v>22.27739086495157</v>
      </c>
      <c r="H56" s="48">
        <f t="shared" si="7"/>
        <v>687.7999999999995</v>
      </c>
      <c r="I56" s="48">
        <f>C56-D56</f>
        <v>3537.6999999999985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f>826.3+49.9</f>
        <v>876.1999999999999</v>
      </c>
      <c r="C58" s="50">
        <f>5881.8+134.4</f>
        <v>6016.2</v>
      </c>
      <c r="D58" s="51">
        <f>43.5+4.7+72.8+47.2+46+5+62.5+3.8+40.9+35.3+2.1+2.9+21.1+3.9+86.8+0.2+2.7+44.1+47.3</f>
        <v>572.8</v>
      </c>
      <c r="E58" s="3">
        <f>D58/D149*100</f>
        <v>0.17899563698134863</v>
      </c>
      <c r="F58" s="3">
        <f>D58/B58*100</f>
        <v>65.37320246519059</v>
      </c>
      <c r="G58" s="3">
        <f t="shared" si="4"/>
        <v>9.52096007446561</v>
      </c>
      <c r="H58" s="51">
        <f>B58-D58</f>
        <v>303.4</v>
      </c>
      <c r="I58" s="51">
        <f t="shared" si="5"/>
        <v>5443.4</v>
      </c>
    </row>
    <row r="59" spans="1:9" ht="18">
      <c r="A59" s="26" t="s">
        <v>3</v>
      </c>
      <c r="B59" s="46">
        <f>475.4+49.9</f>
        <v>525.3</v>
      </c>
      <c r="C59" s="47">
        <f>1508.2+134.4</f>
        <v>1642.6000000000001</v>
      </c>
      <c r="D59" s="48">
        <f>43.5+72.8+47.2+62.5+0.1+35.3+86.8+44.1</f>
        <v>392.3</v>
      </c>
      <c r="E59" s="1">
        <f>D59/D58*100</f>
        <v>68.48812849162012</v>
      </c>
      <c r="F59" s="1">
        <f t="shared" si="6"/>
        <v>74.68113458975824</v>
      </c>
      <c r="G59" s="1">
        <f t="shared" si="4"/>
        <v>23.88286862291489</v>
      </c>
      <c r="H59" s="48">
        <f t="shared" si="7"/>
        <v>132.99999999999994</v>
      </c>
      <c r="I59" s="48">
        <f t="shared" si="5"/>
        <v>1250.3000000000002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307</v>
      </c>
      <c r="C61" s="47">
        <v>627.5</v>
      </c>
      <c r="D61" s="48">
        <f>4.7+45.7+4.9+40.9+19.8+3.9+46.3</f>
        <v>166.2</v>
      </c>
      <c r="E61" s="1">
        <f>D61/D58*100</f>
        <v>29.01536312849162</v>
      </c>
      <c r="F61" s="1">
        <f t="shared" si="6"/>
        <v>54.13680781758957</v>
      </c>
      <c r="G61" s="1">
        <f t="shared" si="4"/>
        <v>26.48605577689243</v>
      </c>
      <c r="H61" s="48">
        <f t="shared" si="7"/>
        <v>140.8</v>
      </c>
      <c r="I61" s="48">
        <f t="shared" si="5"/>
        <v>461.3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43.89999999999998</v>
      </c>
      <c r="C63" s="47">
        <f>C58-C59-C61-C62-C60</f>
        <v>198.09999999999962</v>
      </c>
      <c r="D63" s="47">
        <f>D58-D59-D61-D62-D60</f>
        <v>14.299999999999955</v>
      </c>
      <c r="E63" s="1">
        <f>D63/D58*100</f>
        <v>2.4965083798882604</v>
      </c>
      <c r="F63" s="1">
        <f t="shared" si="6"/>
        <v>32.57403189066051</v>
      </c>
      <c r="G63" s="1">
        <f t="shared" si="4"/>
        <v>7.218576476526997</v>
      </c>
      <c r="H63" s="48">
        <f t="shared" si="7"/>
        <v>29.600000000000023</v>
      </c>
      <c r="I63" s="48">
        <f t="shared" si="5"/>
        <v>183.79999999999967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206.7</v>
      </c>
      <c r="C68" s="50">
        <f>C69+C70</f>
        <v>563.4</v>
      </c>
      <c r="D68" s="51">
        <f>SUM(D69:D70)</f>
        <v>90.2</v>
      </c>
      <c r="E68" s="39">
        <f>D68/D149*100</f>
        <v>0.028186812946434436</v>
      </c>
      <c r="F68" s="3">
        <f>D68/B68*100</f>
        <v>43.638122883405906</v>
      </c>
      <c r="G68" s="3">
        <f t="shared" si="4"/>
        <v>16.009939652112177</v>
      </c>
      <c r="H68" s="51">
        <f>B68-D68</f>
        <v>116.49999999999999</v>
      </c>
      <c r="I68" s="51">
        <f t="shared" si="5"/>
        <v>473.2</v>
      </c>
    </row>
    <row r="69" spans="1:9" ht="18">
      <c r="A69" s="26" t="s">
        <v>8</v>
      </c>
      <c r="B69" s="46">
        <v>96.6</v>
      </c>
      <c r="C69" s="47">
        <v>171</v>
      </c>
      <c r="D69" s="48">
        <f>3.9+1+3+8.8+1.5+9.8+5+38.4+18.8</f>
        <v>90.2</v>
      </c>
      <c r="E69" s="1">
        <f>D69/D68*100</f>
        <v>100</v>
      </c>
      <c r="F69" s="1">
        <f t="shared" si="6"/>
        <v>93.37474120082817</v>
      </c>
      <c r="G69" s="1">
        <f t="shared" si="4"/>
        <v>52.74853801169591</v>
      </c>
      <c r="H69" s="48">
        <f t="shared" si="7"/>
        <v>6.3999999999999915</v>
      </c>
      <c r="I69" s="48">
        <f t="shared" si="5"/>
        <v>80.8</v>
      </c>
    </row>
    <row r="70" spans="1:9" ht="18.75" thickBot="1">
      <c r="A70" s="26" t="s">
        <v>9</v>
      </c>
      <c r="B70" s="46">
        <f>76.4+33.7</f>
        <v>110.10000000000001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110.10000000000001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f>3333.3-3333.3</f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21169.9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</f>
        <v>15249.800000000005</v>
      </c>
      <c r="E89" s="3">
        <f>D89/D149*100</f>
        <v>4.76544634224541</v>
      </c>
      <c r="F89" s="3">
        <f aca="true" t="shared" si="10" ref="F89:F95">D89/B89*100</f>
        <v>72.03529539582144</v>
      </c>
      <c r="G89" s="3">
        <f t="shared" si="8"/>
        <v>27.201426978818294</v>
      </c>
      <c r="H89" s="51">
        <f aca="true" t="shared" si="11" ref="H89:H95">B89-D89</f>
        <v>5920.099999999997</v>
      </c>
      <c r="I89" s="51">
        <f t="shared" si="9"/>
        <v>40812.7</v>
      </c>
    </row>
    <row r="90" spans="1:9" ht="18">
      <c r="A90" s="26" t="s">
        <v>3</v>
      </c>
      <c r="B90" s="46">
        <v>17909.8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</f>
        <v>13757.5</v>
      </c>
      <c r="E90" s="1">
        <f>D90/D89*100</f>
        <v>90.21429789243135</v>
      </c>
      <c r="F90" s="1">
        <f t="shared" si="10"/>
        <v>76.81548649342818</v>
      </c>
      <c r="G90" s="1">
        <f t="shared" si="8"/>
        <v>28.895694053252512</v>
      </c>
      <c r="H90" s="48">
        <f t="shared" si="11"/>
        <v>4152.299999999999</v>
      </c>
      <c r="I90" s="48">
        <f t="shared" si="9"/>
        <v>33853.4</v>
      </c>
    </row>
    <row r="91" spans="1:9" ht="18">
      <c r="A91" s="26" t="s">
        <v>32</v>
      </c>
      <c r="B91" s="46">
        <v>1196.9</v>
      </c>
      <c r="C91" s="47">
        <v>2476</v>
      </c>
      <c r="D91" s="48">
        <f>9.8+96.8+35.3+50.2+1.4+30+1.1+18.1+138.1+43.8+4.2+9.3+27.5+5.8+0.2+2.4+1+11.7+14.7</f>
        <v>501.3999999999999</v>
      </c>
      <c r="E91" s="1">
        <f>D91/D89*100</f>
        <v>3.2879119726160324</v>
      </c>
      <c r="F91" s="1">
        <f t="shared" si="10"/>
        <v>41.89155317904586</v>
      </c>
      <c r="G91" s="1">
        <f t="shared" si="8"/>
        <v>20.25040387722132</v>
      </c>
      <c r="H91" s="48">
        <f t="shared" si="11"/>
        <v>695.5000000000002</v>
      </c>
      <c r="I91" s="48">
        <f t="shared" si="9"/>
        <v>1974.6000000000001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2063.200000000002</v>
      </c>
      <c r="C93" s="47">
        <f>C89-C90-C91-C92</f>
        <v>5975.5999999999985</v>
      </c>
      <c r="D93" s="47">
        <f>D89-D90-D91-D92</f>
        <v>990.9000000000049</v>
      </c>
      <c r="E93" s="1">
        <f>D93/D89*100</f>
        <v>6.497790134952619</v>
      </c>
      <c r="F93" s="1">
        <f t="shared" si="10"/>
        <v>48.02733617681291</v>
      </c>
      <c r="G93" s="1">
        <f>D93/C93*100</f>
        <v>16.582435236629042</v>
      </c>
      <c r="H93" s="48">
        <f t="shared" si="11"/>
        <v>1072.2999999999972</v>
      </c>
      <c r="I93" s="48">
        <f>C93-D93</f>
        <v>4984.699999999993</v>
      </c>
    </row>
    <row r="94" spans="1:9" ht="18.75">
      <c r="A94" s="116" t="s">
        <v>12</v>
      </c>
      <c r="B94" s="119">
        <f>31318.1+5000</f>
        <v>36318.1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</f>
        <v>27497.4</v>
      </c>
      <c r="E94" s="115">
        <f>D94/D149*100</f>
        <v>8.59272805225373</v>
      </c>
      <c r="F94" s="118">
        <f t="shared" si="10"/>
        <v>75.71266117996261</v>
      </c>
      <c r="G94" s="114">
        <f>D94/C94*100</f>
        <v>34.57652949593971</v>
      </c>
      <c r="H94" s="120">
        <f t="shared" si="11"/>
        <v>8820.699999999997</v>
      </c>
      <c r="I94" s="130">
        <f>C94-D94</f>
        <v>52028.799999999996</v>
      </c>
    </row>
    <row r="95" spans="1:9" ht="18.75" thickBot="1">
      <c r="A95" s="117" t="s">
        <v>100</v>
      </c>
      <c r="B95" s="122">
        <v>1770</v>
      </c>
      <c r="C95" s="123">
        <v>5343.5</v>
      </c>
      <c r="D95" s="124">
        <f>57.3+368.5+61.1+0.1+320+59+0.8+309+245.5</f>
        <v>1421.3</v>
      </c>
      <c r="E95" s="125">
        <f>D95/D94*100</f>
        <v>5.1688523278564515</v>
      </c>
      <c r="F95" s="126">
        <f t="shared" si="10"/>
        <v>80.2994350282486</v>
      </c>
      <c r="G95" s="127">
        <f>D95/C95*100</f>
        <v>26.59867128286703</v>
      </c>
      <c r="H95" s="131">
        <f t="shared" si="11"/>
        <v>348.70000000000005</v>
      </c>
      <c r="I95" s="132">
        <f>C95-D95</f>
        <v>3922.2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f>3520.9-42.7</f>
        <v>3478.2000000000003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</f>
        <v>2250.1000000000004</v>
      </c>
      <c r="E101" s="22">
        <f>D101/D149*100</f>
        <v>0.70313911098417</v>
      </c>
      <c r="F101" s="22">
        <f>D101/B101*100</f>
        <v>64.69150710137428</v>
      </c>
      <c r="G101" s="22">
        <f aca="true" t="shared" si="12" ref="G101:G147">D101/C101*100</f>
        <v>21.32937730465529</v>
      </c>
      <c r="H101" s="87">
        <f aca="true" t="shared" si="13" ref="H101:H106">B101-D101</f>
        <v>1228.1</v>
      </c>
      <c r="I101" s="87">
        <f aca="true" t="shared" si="14" ref="I101:I147">C101-D101</f>
        <v>8299.199999999999</v>
      </c>
    </row>
    <row r="102" spans="1:9" ht="18">
      <c r="A102" s="26" t="s">
        <v>3</v>
      </c>
      <c r="B102" s="97">
        <v>29.6</v>
      </c>
      <c r="C102" s="95">
        <v>187.6</v>
      </c>
      <c r="D102" s="95"/>
      <c r="E102" s="91">
        <f>D102/D101*100</f>
        <v>0</v>
      </c>
      <c r="F102" s="111">
        <f>D102/B102*100</f>
        <v>0</v>
      </c>
      <c r="G102" s="91">
        <f>D102/C102*100</f>
        <v>0</v>
      </c>
      <c r="H102" s="95">
        <f t="shared" si="13"/>
        <v>29.6</v>
      </c>
      <c r="I102" s="95">
        <f t="shared" si="14"/>
        <v>187.6</v>
      </c>
    </row>
    <row r="103" spans="1:9" ht="18">
      <c r="A103" s="93" t="s">
        <v>60</v>
      </c>
      <c r="B103" s="78">
        <f>2969.7-42.7</f>
        <v>2927</v>
      </c>
      <c r="C103" s="48">
        <f>8863.3-154</f>
        <v>8709.3</v>
      </c>
      <c r="D103" s="48">
        <f>39.8+388.5+20.6+2+26+40+4.1+126.5+407.9+18+31.2+40.6+134.1+2+40+303.9+135.8+32.6+7.9+0.1+62.1+159.2+45.1</f>
        <v>2067.9999999999995</v>
      </c>
      <c r="E103" s="1">
        <f>D103/D101*100</f>
        <v>91.90702635438421</v>
      </c>
      <c r="F103" s="1">
        <f aca="true" t="shared" si="15" ref="F103:F147">D103/B103*100</f>
        <v>70.65254526819267</v>
      </c>
      <c r="G103" s="1">
        <f t="shared" si="12"/>
        <v>23.74473264211819</v>
      </c>
      <c r="H103" s="48">
        <f t="shared" si="13"/>
        <v>859.0000000000005</v>
      </c>
      <c r="I103" s="48">
        <f t="shared" si="14"/>
        <v>6641.299999999999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521.6000000000004</v>
      </c>
      <c r="C105" s="96">
        <f>C101-C102-C103</f>
        <v>1652.3999999999996</v>
      </c>
      <c r="D105" s="96">
        <f>D101-D102-D103</f>
        <v>182.10000000000082</v>
      </c>
      <c r="E105" s="92">
        <f>D105/D101*100</f>
        <v>8.092973645615785</v>
      </c>
      <c r="F105" s="92">
        <f t="shared" si="15"/>
        <v>34.91180981595105</v>
      </c>
      <c r="G105" s="92">
        <f t="shared" si="12"/>
        <v>11.020334059549798</v>
      </c>
      <c r="H105" s="132">
        <f>B105-D105</f>
        <v>339.49999999999955</v>
      </c>
      <c r="I105" s="132">
        <f t="shared" si="14"/>
        <v>1470.2999999999988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118162.5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70294.4</v>
      </c>
      <c r="E106" s="90">
        <f>D106/D149*100</f>
        <v>21.966464567426172</v>
      </c>
      <c r="F106" s="90">
        <f>D106/B106*100</f>
        <v>59.48960118480905</v>
      </c>
      <c r="G106" s="90">
        <f t="shared" si="12"/>
        <v>14.813406800759399</v>
      </c>
      <c r="H106" s="89">
        <f t="shared" si="13"/>
        <v>47868.100000000006</v>
      </c>
      <c r="I106" s="89">
        <f t="shared" si="14"/>
        <v>404237.9</v>
      </c>
    </row>
    <row r="107" spans="1:9" ht="37.5">
      <c r="A107" s="31" t="s">
        <v>64</v>
      </c>
      <c r="B107" s="75">
        <v>887.3</v>
      </c>
      <c r="C107" s="71">
        <v>2166.2</v>
      </c>
      <c r="D107" s="76">
        <f>142.7+0.9+78.6+37.4+44.2+140.1+1+20.9+25.7+0.2+2</f>
        <v>493.69999999999993</v>
      </c>
      <c r="E107" s="6">
        <f>D107/D106*100</f>
        <v>0.7023319069513361</v>
      </c>
      <c r="F107" s="6">
        <f t="shared" si="15"/>
        <v>55.64070776513017</v>
      </c>
      <c r="G107" s="6">
        <f t="shared" si="12"/>
        <v>22.79106269042563</v>
      </c>
      <c r="H107" s="65">
        <f aca="true" t="shared" si="16" ref="H107:H147">B107-D107</f>
        <v>393.6</v>
      </c>
      <c r="I107" s="65">
        <f t="shared" si="14"/>
        <v>1672.5</v>
      </c>
    </row>
    <row r="108" spans="1:9" ht="18">
      <c r="A108" s="26" t="s">
        <v>32</v>
      </c>
      <c r="B108" s="78">
        <v>544.4</v>
      </c>
      <c r="C108" s="48">
        <v>1213.5</v>
      </c>
      <c r="D108" s="79">
        <f>142.7+0.9+78.6+37.4+20.9</f>
        <v>280.49999999999994</v>
      </c>
      <c r="E108" s="1">
        <f>D108/D107*100</f>
        <v>56.81588008912295</v>
      </c>
      <c r="F108" s="1">
        <f t="shared" si="15"/>
        <v>51.52461425422482</v>
      </c>
      <c r="G108" s="1">
        <f t="shared" si="12"/>
        <v>23.114956736711985</v>
      </c>
      <c r="H108" s="48">
        <f t="shared" si="16"/>
        <v>263.90000000000003</v>
      </c>
      <c r="I108" s="48">
        <f t="shared" si="14"/>
        <v>933</v>
      </c>
    </row>
    <row r="109" spans="1:9" ht="34.5" customHeight="1">
      <c r="A109" s="16" t="s">
        <v>95</v>
      </c>
      <c r="B109" s="77">
        <v>141.1</v>
      </c>
      <c r="C109" s="65">
        <v>778.3</v>
      </c>
      <c r="D109" s="76">
        <f>26.5+20.2+7.7+37.4+7.5+38.9</f>
        <v>138.20000000000002</v>
      </c>
      <c r="E109" s="6">
        <f>D109/D106*100</f>
        <v>0.19660172076296267</v>
      </c>
      <c r="F109" s="6">
        <f>D109/B109*100</f>
        <v>97.94472005669739</v>
      </c>
      <c r="G109" s="6">
        <f t="shared" si="12"/>
        <v>17.756649107028142</v>
      </c>
      <c r="H109" s="65">
        <f t="shared" si="16"/>
        <v>2.8999999999999773</v>
      </c>
      <c r="I109" s="65">
        <f t="shared" si="14"/>
        <v>640.0999999999999</v>
      </c>
    </row>
    <row r="110" spans="1:9" s="41" customFormat="1" ht="34.5" customHeight="1">
      <c r="A110" s="16" t="s">
        <v>71</v>
      </c>
      <c r="B110" s="77">
        <v>38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10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10</v>
      </c>
      <c r="I112" s="65">
        <f t="shared" si="14"/>
        <v>50</v>
      </c>
    </row>
    <row r="113" spans="1:9" ht="37.5">
      <c r="A113" s="16" t="s">
        <v>46</v>
      </c>
      <c r="B113" s="77">
        <v>648.2</v>
      </c>
      <c r="C113" s="65">
        <v>1795.8</v>
      </c>
      <c r="D113" s="76">
        <f>82.2+4.4+0.2+16.8+100.8+0.1+8.3+21.3+93.2+14.5+11.8</f>
        <v>353.6</v>
      </c>
      <c r="E113" s="6">
        <f>D113/D106*100</f>
        <v>0.5030272681749899</v>
      </c>
      <c r="F113" s="6">
        <f t="shared" si="15"/>
        <v>54.551064486269674</v>
      </c>
      <c r="G113" s="6">
        <f t="shared" si="12"/>
        <v>19.69038868470877</v>
      </c>
      <c r="H113" s="65">
        <f t="shared" si="16"/>
        <v>294.6</v>
      </c>
      <c r="I113" s="65">
        <f t="shared" si="14"/>
        <v>1442.1999999999998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23.2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23.2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84.9</v>
      </c>
      <c r="C117" s="57">
        <v>229.6</v>
      </c>
      <c r="D117" s="76">
        <f>17.1-0.3+0.8+0.3+21.4+4.2+0.3+17.6+4.2+0.8+0.3</f>
        <v>66.69999999999999</v>
      </c>
      <c r="E117" s="6">
        <f>D117/D106*100</f>
        <v>0.09488664815404925</v>
      </c>
      <c r="F117" s="6">
        <f t="shared" si="15"/>
        <v>78.5630153121319</v>
      </c>
      <c r="G117" s="6">
        <f t="shared" si="12"/>
        <v>29.05052264808362</v>
      </c>
      <c r="H117" s="65">
        <f t="shared" si="16"/>
        <v>18.200000000000017</v>
      </c>
      <c r="I117" s="65">
        <f t="shared" si="14"/>
        <v>162.9</v>
      </c>
    </row>
    <row r="118" spans="1:9" s="36" customFormat="1" ht="18">
      <c r="A118" s="37" t="s">
        <v>53</v>
      </c>
      <c r="B118" s="78">
        <v>67.2</v>
      </c>
      <c r="C118" s="48">
        <v>170.2</v>
      </c>
      <c r="D118" s="79">
        <f>17.1-0.3+16.8+16.8</f>
        <v>50.400000000000006</v>
      </c>
      <c r="E118" s="1">
        <f>D118/D117*100</f>
        <v>75.56221889055475</v>
      </c>
      <c r="F118" s="1">
        <f t="shared" si="15"/>
        <v>75</v>
      </c>
      <c r="G118" s="1">
        <f t="shared" si="12"/>
        <v>29.61222091656875</v>
      </c>
      <c r="H118" s="48">
        <f t="shared" si="16"/>
        <v>16.799999999999997</v>
      </c>
      <c r="I118" s="48">
        <f t="shared" si="14"/>
        <v>119.79999999999998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>
      <c r="A121" s="26" t="s">
        <v>97</v>
      </c>
      <c r="B121" s="78">
        <v>0</v>
      </c>
      <c r="C121" s="48">
        <v>80</v>
      </c>
      <c r="D121" s="79"/>
      <c r="E121" s="6"/>
      <c r="F121" s="111" t="e">
        <f>D121/B121*100</f>
        <v>#DIV/0!</v>
      </c>
      <c r="G121" s="1">
        <f t="shared" si="12"/>
        <v>0</v>
      </c>
      <c r="H121" s="48">
        <f t="shared" si="16"/>
        <v>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5174.5</v>
      </c>
      <c r="C123" s="57">
        <f>5096.9+1707.5</f>
        <v>6804.4</v>
      </c>
      <c r="D123" s="80">
        <f>3776+7.6+1124+100+14.3+14.5</f>
        <v>5036.400000000001</v>
      </c>
      <c r="E123" s="17">
        <f>D123/D106*100</f>
        <v>7.164724359266174</v>
      </c>
      <c r="F123" s="6">
        <f t="shared" si="15"/>
        <v>97.33114310561407</v>
      </c>
      <c r="G123" s="6">
        <f t="shared" si="12"/>
        <v>74.01681265063783</v>
      </c>
      <c r="H123" s="65">
        <f t="shared" si="16"/>
        <v>138.09999999999945</v>
      </c>
      <c r="I123" s="65">
        <f t="shared" si="14"/>
        <v>1767.999999999999</v>
      </c>
    </row>
    <row r="124" spans="1:9" s="2" customFormat="1" ht="18.75">
      <c r="A124" s="16" t="s">
        <v>118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0.03229275731779488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273.3</v>
      </c>
      <c r="C127" s="57">
        <v>983</v>
      </c>
      <c r="D127" s="80">
        <f>2.8+14.4+2.8+8.8+3.7+4+2.8+5.8+9.6</f>
        <v>54.699999999999996</v>
      </c>
      <c r="E127" s="17">
        <f>D127/D106*100</f>
        <v>0.07781558701688897</v>
      </c>
      <c r="F127" s="6">
        <f t="shared" si="15"/>
        <v>20.01463593121112</v>
      </c>
      <c r="G127" s="6">
        <f t="shared" si="12"/>
        <v>5.564598168870803</v>
      </c>
      <c r="H127" s="65">
        <f t="shared" si="16"/>
        <v>218.60000000000002</v>
      </c>
      <c r="I127" s="65">
        <f t="shared" si="14"/>
        <v>928.3</v>
      </c>
    </row>
    <row r="128" spans="1:9" s="36" customFormat="1" ht="18">
      <c r="A128" s="26" t="s">
        <v>111</v>
      </c>
      <c r="B128" s="78">
        <f>234.4-7.5</f>
        <v>226.9</v>
      </c>
      <c r="C128" s="48">
        <v>851.8</v>
      </c>
      <c r="D128" s="79">
        <f>2.8+2.8-0.1+2.8</f>
        <v>8.3</v>
      </c>
      <c r="E128" s="1">
        <f>D128/D127*100</f>
        <v>15.17367458866545</v>
      </c>
      <c r="F128" s="1">
        <f>D128/B128*100</f>
        <v>3.6579991185544296</v>
      </c>
      <c r="G128" s="1">
        <f t="shared" si="12"/>
        <v>0.9744071378257809</v>
      </c>
      <c r="H128" s="48">
        <f t="shared" si="16"/>
        <v>218.6</v>
      </c>
      <c r="I128" s="48">
        <f t="shared" si="14"/>
        <v>843.5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24.1</v>
      </c>
      <c r="C131" s="57">
        <v>64.1</v>
      </c>
      <c r="D131" s="80">
        <f>0.8+2.3</f>
        <v>3.0999999999999996</v>
      </c>
      <c r="E131" s="17">
        <f>D131/D106*100</f>
        <v>0.004410024127099741</v>
      </c>
      <c r="F131" s="6">
        <f t="shared" si="15"/>
        <v>12.863070539419086</v>
      </c>
      <c r="G131" s="6">
        <f t="shared" si="12"/>
        <v>4.83619344773791</v>
      </c>
      <c r="H131" s="65">
        <f t="shared" si="16"/>
        <v>21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169.2</v>
      </c>
      <c r="C133" s="57">
        <v>600</v>
      </c>
      <c r="D133" s="80">
        <f>0.8+5+0.9+2.6-0.1</f>
        <v>9.200000000000001</v>
      </c>
      <c r="E133" s="17">
        <f>D133/D106*100</f>
        <v>0.013087813538489555</v>
      </c>
      <c r="F133" s="6">
        <f t="shared" si="15"/>
        <v>5.437352245862885</v>
      </c>
      <c r="G133" s="6">
        <f t="shared" si="12"/>
        <v>1.5333333333333337</v>
      </c>
      <c r="H133" s="65">
        <f t="shared" si="16"/>
        <v>160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158.7</v>
      </c>
      <c r="C135" s="57">
        <v>363.7</v>
      </c>
      <c r="D135" s="80">
        <f>5.2+0.3+2.7+0.1+0.5+0.2+13.8+39.2</f>
        <v>62</v>
      </c>
      <c r="E135" s="17">
        <f>D135/D106*100</f>
        <v>0.0882004825419948</v>
      </c>
      <c r="F135" s="6">
        <f t="shared" si="15"/>
        <v>39.067422810333966</v>
      </c>
      <c r="G135" s="6">
        <f>D135/C135*100</f>
        <v>17.04701677206489</v>
      </c>
      <c r="H135" s="65">
        <f t="shared" si="16"/>
        <v>96.69999999999999</v>
      </c>
      <c r="I135" s="65">
        <f t="shared" si="14"/>
        <v>301.7</v>
      </c>
    </row>
    <row r="136" spans="1:9" s="36" customFormat="1" ht="18">
      <c r="A136" s="26" t="s">
        <v>32</v>
      </c>
      <c r="B136" s="78">
        <v>111.1</v>
      </c>
      <c r="C136" s="48">
        <v>218.8</v>
      </c>
      <c r="D136" s="79">
        <f>0.3+39.3</f>
        <v>39.599999999999994</v>
      </c>
      <c r="E136" s="111">
        <f>D136/D135*100</f>
        <v>63.870967741935466</v>
      </c>
      <c r="F136" s="1">
        <f t="shared" si="15"/>
        <v>35.64356435643564</v>
      </c>
      <c r="G136" s="1">
        <f>D136/C136*100</f>
        <v>18.098720292504566</v>
      </c>
      <c r="H136" s="48">
        <f t="shared" si="16"/>
        <v>71.5</v>
      </c>
      <c r="I136" s="48">
        <f t="shared" si="14"/>
        <v>179.20000000000002</v>
      </c>
    </row>
    <row r="137" spans="1:9" s="2" customFormat="1" ht="18.75">
      <c r="A137" s="16" t="s">
        <v>31</v>
      </c>
      <c r="B137" s="77">
        <v>379.5</v>
      </c>
      <c r="C137" s="57">
        <v>1160.2</v>
      </c>
      <c r="D137" s="80">
        <f>26.5+42.3+30.1+3.6+8.6+42.3+0.1+5.7+31.9+5.2+42.5+11.7+55</f>
        <v>305.49999999999994</v>
      </c>
      <c r="E137" s="17">
        <f>D137/D106*100</f>
        <v>0.43460076478353893</v>
      </c>
      <c r="F137" s="6">
        <f t="shared" si="15"/>
        <v>80.50065876152831</v>
      </c>
      <c r="G137" s="6">
        <f t="shared" si="12"/>
        <v>26.33166695397345</v>
      </c>
      <c r="H137" s="65">
        <f t="shared" si="16"/>
        <v>74.00000000000006</v>
      </c>
      <c r="I137" s="65">
        <f t="shared" si="14"/>
        <v>854.7</v>
      </c>
    </row>
    <row r="138" spans="1:9" s="36" customFormat="1" ht="18">
      <c r="A138" s="37" t="s">
        <v>53</v>
      </c>
      <c r="B138" s="78">
        <v>290.5</v>
      </c>
      <c r="C138" s="48">
        <v>886.2</v>
      </c>
      <c r="D138" s="79">
        <f>26.5+39.8+30.1+42.1+0.1+31.9+40.5+11.2+38.1</f>
        <v>260.3</v>
      </c>
      <c r="E138" s="1">
        <f>D138/D137*100</f>
        <v>85.20458265139118</v>
      </c>
      <c r="F138" s="1">
        <f aca="true" t="shared" si="17" ref="F138:F146">D138/B138*100</f>
        <v>89.60413080895009</v>
      </c>
      <c r="G138" s="1">
        <f t="shared" si="12"/>
        <v>29.372602121417284</v>
      </c>
      <c r="H138" s="48">
        <f t="shared" si="16"/>
        <v>30.19999999999999</v>
      </c>
      <c r="I138" s="48">
        <f t="shared" si="14"/>
        <v>625.9000000000001</v>
      </c>
    </row>
    <row r="139" spans="1:9" s="36" customFormat="1" ht="18">
      <c r="A139" s="26" t="s">
        <v>32</v>
      </c>
      <c r="B139" s="78">
        <v>22.1</v>
      </c>
      <c r="C139" s="48">
        <v>39.3</v>
      </c>
      <c r="D139" s="79">
        <f>8.6+0.2+0.3+5.1+0.4</f>
        <v>14.6</v>
      </c>
      <c r="E139" s="1">
        <f>D139/D137*100</f>
        <v>4.779050736497545</v>
      </c>
      <c r="F139" s="1">
        <f t="shared" si="17"/>
        <v>66.06334841628959</v>
      </c>
      <c r="G139" s="1">
        <f>D139/C139*100</f>
        <v>37.150127226463106</v>
      </c>
      <c r="H139" s="48">
        <f t="shared" si="16"/>
        <v>7.500000000000002</v>
      </c>
      <c r="I139" s="48">
        <f t="shared" si="14"/>
        <v>24.699999999999996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0.4907930076933582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15612.8-2000</f>
        <v>13612.8</v>
      </c>
      <c r="C142" s="57">
        <f>16744+15000</f>
        <v>31744</v>
      </c>
      <c r="D142" s="80">
        <f>112.8+55.6+128.7+0.1+105.3+21.7+331.5+41.9+106.9+1197.5+64.4+33.5+768.6+5.6+65.8+1473+34.4+335.2+312.9</f>
        <v>5195.399999999999</v>
      </c>
      <c r="E142" s="17">
        <f>D142/D106*100</f>
        <v>7.390915919333545</v>
      </c>
      <c r="F142" s="107">
        <f t="shared" si="17"/>
        <v>38.16555007052185</v>
      </c>
      <c r="G142" s="6">
        <f t="shared" si="12"/>
        <v>16.366557459677416</v>
      </c>
      <c r="H142" s="65">
        <f t="shared" si="16"/>
        <v>8417.400000000001</v>
      </c>
      <c r="I142" s="65">
        <f t="shared" si="14"/>
        <v>26548.600000000002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2.9789001684344703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</f>
        <v>585.2</v>
      </c>
      <c r="E145" s="17">
        <f>D145/D106*100</f>
        <v>0.8324987481221834</v>
      </c>
      <c r="F145" s="107">
        <f t="shared" si="17"/>
        <v>97.09639953542393</v>
      </c>
      <c r="G145" s="6">
        <f t="shared" si="12"/>
        <v>97.09639953542393</v>
      </c>
      <c r="H145" s="65">
        <f t="shared" si="16"/>
        <v>17.5</v>
      </c>
      <c r="I145" s="65">
        <f t="shared" si="14"/>
        <v>17.5</v>
      </c>
      <c r="K145" s="42"/>
      <c r="L145" s="42"/>
    </row>
    <row r="146" spans="1:12" s="2" customFormat="1" ht="19.5" customHeight="1">
      <c r="A146" s="16" t="s">
        <v>62</v>
      </c>
      <c r="B146" s="77">
        <f>80247.9+3333.3</f>
        <v>83581.2</v>
      </c>
      <c r="C146" s="57">
        <f>298394.8+81857.1-188.4+8192</f>
        <v>388255.5</v>
      </c>
      <c r="D146" s="80">
        <f>26548.7+545.5+173+4155.7+7306.3+113.6+824.5+6.1+72.3+8+1047.4+410+6261.9</f>
        <v>47473.00000000001</v>
      </c>
      <c r="E146" s="17">
        <f>D146/D106*100</f>
        <v>67.5345404470342</v>
      </c>
      <c r="F146" s="6">
        <f t="shared" si="17"/>
        <v>56.79865807143234</v>
      </c>
      <c r="G146" s="6">
        <f t="shared" si="12"/>
        <v>12.227257566216062</v>
      </c>
      <c r="H146" s="65">
        <f t="shared" si="16"/>
        <v>36108.19999999999</v>
      </c>
      <c r="I146" s="65">
        <f t="shared" si="14"/>
        <v>340782.5</v>
      </c>
      <c r="K146" s="99"/>
      <c r="L146" s="42"/>
    </row>
    <row r="147" spans="1:12" s="2" customFormat="1" ht="18.75">
      <c r="A147" s="16" t="s">
        <v>105</v>
      </c>
      <c r="B147" s="77">
        <v>9667.2</v>
      </c>
      <c r="C147" s="57">
        <v>29001.6</v>
      </c>
      <c r="D147" s="80">
        <f>805.6+805.6+805.6+805.6+805.6+805.6+805.6+805.6+805.6+805.6</f>
        <v>8056.000000000002</v>
      </c>
      <c r="E147" s="17">
        <f>D147/D106*100</f>
        <v>11.460372376746943</v>
      </c>
      <c r="F147" s="6">
        <f t="shared" si="15"/>
        <v>83.33333333333334</v>
      </c>
      <c r="G147" s="6">
        <f t="shared" si="12"/>
        <v>27.777777777777786</v>
      </c>
      <c r="H147" s="65">
        <f t="shared" si="16"/>
        <v>1611.199999999999</v>
      </c>
      <c r="I147" s="65">
        <f t="shared" si="14"/>
        <v>20945.6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122195.5</v>
      </c>
      <c r="C148" s="81">
        <f>C43+C68+C71+C76+C78+C86+C101+C106+C99+C83+C97</f>
        <v>488352.5</v>
      </c>
      <c r="D148" s="57">
        <f>D43+D68+D71+D76+D78+D86+D101+D106+D99+D83+D97</f>
        <v>72859.5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438714.4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320007.79999999993</v>
      </c>
      <c r="E149" s="35">
        <v>100</v>
      </c>
      <c r="F149" s="3">
        <f>D149/B149*100</f>
        <v>72.94216921076672</v>
      </c>
      <c r="G149" s="3">
        <f aca="true" t="shared" si="18" ref="G149:G155">D149/C149*100</f>
        <v>23.067355902460903</v>
      </c>
      <c r="H149" s="51">
        <f aca="true" t="shared" si="19" ref="H149:H155">B149-D149</f>
        <v>118706.6000000001</v>
      </c>
      <c r="I149" s="51">
        <f aca="true" t="shared" si="20" ref="I149:I155">C149-D149</f>
        <v>1067267.8000000003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188972.9</v>
      </c>
      <c r="C150" s="64">
        <f>C8+C20+C34+C52+C59+C90+C114+C118+C46+C138+C130+C102</f>
        <v>587319.2999999998</v>
      </c>
      <c r="D150" s="64">
        <f>D8+D20+D34+D52+D59+D90+D114+D118+D46+D138+D130+D102</f>
        <v>157478.39999999994</v>
      </c>
      <c r="E150" s="6">
        <f>D150/D149*100</f>
        <v>49.21080048673813</v>
      </c>
      <c r="F150" s="6">
        <f aca="true" t="shared" si="21" ref="F150:F161">D150/B150*100</f>
        <v>83.33385369013226</v>
      </c>
      <c r="G150" s="6">
        <f t="shared" si="18"/>
        <v>26.813081061698462</v>
      </c>
      <c r="H150" s="65">
        <f t="shared" si="19"/>
        <v>31494.50000000006</v>
      </c>
      <c r="I150" s="76">
        <f t="shared" si="20"/>
        <v>429840.8999999999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50042.50000000001</v>
      </c>
      <c r="C151" s="65">
        <f>C11+C23+C36+C55+C61+C91+C49+C139+C108+C111+C95+C136</f>
        <v>114263.80000000002</v>
      </c>
      <c r="D151" s="65">
        <f>D11+D23+D36+D55+D61+D91+D49+D139+D108+D111+D95+D136</f>
        <v>37050.1</v>
      </c>
      <c r="E151" s="6">
        <f>D151/D149*100</f>
        <v>11.577874039320294</v>
      </c>
      <c r="F151" s="6">
        <f t="shared" si="21"/>
        <v>74.03726832192635</v>
      </c>
      <c r="G151" s="6">
        <f t="shared" si="18"/>
        <v>32.425055004297064</v>
      </c>
      <c r="H151" s="65">
        <f t="shared" si="19"/>
        <v>12992.400000000009</v>
      </c>
      <c r="I151" s="76">
        <f t="shared" si="20"/>
        <v>77213.70000000001</v>
      </c>
      <c r="K151" s="43"/>
      <c r="L151" s="98"/>
    </row>
    <row r="152" spans="1:12" ht="18.75">
      <c r="A152" s="20" t="s">
        <v>1</v>
      </c>
      <c r="B152" s="64">
        <f>B22+B10+B54+B48+B60+B35+B122</f>
        <v>14609.9</v>
      </c>
      <c r="C152" s="64">
        <f>C22+C10+C54+C48+C60+C35+C122</f>
        <v>32660.300000000003</v>
      </c>
      <c r="D152" s="64">
        <f>D22+D10+D54+D48+D60+D35+D122</f>
        <v>9086.400000000001</v>
      </c>
      <c r="E152" s="6">
        <f>D152/D149*100</f>
        <v>2.8394307888745223</v>
      </c>
      <c r="F152" s="6">
        <f t="shared" si="21"/>
        <v>62.19344417141802</v>
      </c>
      <c r="G152" s="6">
        <f t="shared" si="18"/>
        <v>27.82093244703815</v>
      </c>
      <c r="H152" s="65">
        <f t="shared" si="19"/>
        <v>5523.499999999998</v>
      </c>
      <c r="I152" s="76">
        <f t="shared" si="20"/>
        <v>23573.9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8508.599999999999</v>
      </c>
      <c r="C153" s="64">
        <f>C12+C24+C103+C62+C38+C92+C128</f>
        <v>29141.7</v>
      </c>
      <c r="D153" s="64">
        <f>D12+D24+D103+D62+D38+D92+D128</f>
        <v>6056.200000000001</v>
      </c>
      <c r="E153" s="6">
        <f>D153/D149*100</f>
        <v>1.892516369913484</v>
      </c>
      <c r="F153" s="6">
        <f t="shared" si="21"/>
        <v>71.1773969865783</v>
      </c>
      <c r="G153" s="6">
        <f t="shared" si="18"/>
        <v>20.78190359519177</v>
      </c>
      <c r="H153" s="65">
        <f t="shared" si="19"/>
        <v>2452.399999999998</v>
      </c>
      <c r="I153" s="76">
        <f t="shared" si="20"/>
        <v>23085.5</v>
      </c>
      <c r="K153" s="43"/>
      <c r="L153" s="98"/>
    </row>
    <row r="154" spans="1:12" ht="18.75">
      <c r="A154" s="20" t="s">
        <v>2</v>
      </c>
      <c r="B154" s="64">
        <f>B9+B21+B47+B53+B121</f>
        <v>7818.4</v>
      </c>
      <c r="C154" s="64">
        <f>C9+C21+C47+C53+C121</f>
        <v>21133.1</v>
      </c>
      <c r="D154" s="64">
        <f>D9+D21+D47+D53+D121</f>
        <v>4963.0999999999985</v>
      </c>
      <c r="E154" s="6">
        <f>D154/D149*100</f>
        <v>1.5509309460581897</v>
      </c>
      <c r="F154" s="6">
        <f t="shared" si="21"/>
        <v>63.47974010027626</v>
      </c>
      <c r="G154" s="6">
        <f t="shared" si="18"/>
        <v>23.484959613118754</v>
      </c>
      <c r="H154" s="65">
        <f t="shared" si="19"/>
        <v>2855.300000000001</v>
      </c>
      <c r="I154" s="76">
        <f t="shared" si="20"/>
        <v>16170</v>
      </c>
      <c r="K154" s="43"/>
      <c r="L154" s="44"/>
    </row>
    <row r="155" spans="1:12" ht="19.5" thickBot="1">
      <c r="A155" s="20" t="s">
        <v>34</v>
      </c>
      <c r="B155" s="64">
        <f>B149-B150-B151-B152-B153-B154</f>
        <v>168762.10000000003</v>
      </c>
      <c r="C155" s="64">
        <f>C149-C150-C151-C152-C153-C154</f>
        <v>602757.4000000003</v>
      </c>
      <c r="D155" s="64">
        <f>D149-D150-D151-D152-D153-D154</f>
        <v>105373.6</v>
      </c>
      <c r="E155" s="6">
        <f>D155/D149*100</f>
        <v>32.92844736909539</v>
      </c>
      <c r="F155" s="6">
        <f t="shared" si="21"/>
        <v>62.43913769738584</v>
      </c>
      <c r="G155" s="40">
        <f t="shared" si="18"/>
        <v>17.48192556408266</v>
      </c>
      <c r="H155" s="65">
        <f t="shared" si="19"/>
        <v>63388.50000000003</v>
      </c>
      <c r="I155" s="65">
        <f t="shared" si="20"/>
        <v>497383.8000000003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f>4951.4-300</f>
        <v>4651.4</v>
      </c>
      <c r="C157" s="70">
        <f>11264.2-188.4+16049.8</f>
        <v>27125.6</v>
      </c>
      <c r="D157" s="70">
        <f>33+3.1</f>
        <v>36.1</v>
      </c>
      <c r="E157" s="14"/>
      <c r="F157" s="6">
        <f t="shared" si="21"/>
        <v>0.7761104183686633</v>
      </c>
      <c r="G157" s="6">
        <f aca="true" t="shared" si="22" ref="G157:G166">D157/C157*100</f>
        <v>0.1330846137965612</v>
      </c>
      <c r="H157" s="6">
        <f>B157-D157</f>
        <v>4615.299999999999</v>
      </c>
      <c r="I157" s="6">
        <f aca="true" t="shared" si="23" ref="I157:I166">C157-D157</f>
        <v>27089.5</v>
      </c>
      <c r="K157" s="43"/>
      <c r="L157" s="43"/>
    </row>
    <row r="158" spans="1:12" ht="18.75">
      <c r="A158" s="20" t="s">
        <v>22</v>
      </c>
      <c r="B158" s="85">
        <f>6067.8+4600+495</f>
        <v>11162.8</v>
      </c>
      <c r="C158" s="64">
        <v>40292</v>
      </c>
      <c r="D158" s="64"/>
      <c r="E158" s="6"/>
      <c r="F158" s="6">
        <f t="shared" si="21"/>
        <v>0</v>
      </c>
      <c r="G158" s="6">
        <f t="shared" si="22"/>
        <v>0</v>
      </c>
      <c r="H158" s="6">
        <f aca="true" t="shared" si="24" ref="H158:H165">B158-D158</f>
        <v>11162.8</v>
      </c>
      <c r="I158" s="6">
        <f t="shared" si="23"/>
        <v>40292</v>
      </c>
      <c r="K158" s="43"/>
      <c r="L158" s="43"/>
    </row>
    <row r="159" spans="1:12" ht="18.75">
      <c r="A159" s="20" t="s">
        <v>58</v>
      </c>
      <c r="B159" s="85">
        <f>132461-4600-195</f>
        <v>127666</v>
      </c>
      <c r="C159" s="64">
        <f>253351.6+55+5844.1+52645.5+25515.3</f>
        <v>337411.5</v>
      </c>
      <c r="D159" s="64">
        <f>12.5+3344.4+45.2+21.2+85.3+173+1150+146+881.8+6.7+72.3+7.9+1090.6+406.5+1979.4+513.5</f>
        <v>9936.3</v>
      </c>
      <c r="E159" s="6"/>
      <c r="F159" s="6">
        <f t="shared" si="21"/>
        <v>7.783043253489574</v>
      </c>
      <c r="G159" s="6">
        <f t="shared" si="22"/>
        <v>2.944861096909856</v>
      </c>
      <c r="H159" s="6">
        <f t="shared" si="24"/>
        <v>117729.7</v>
      </c>
      <c r="I159" s="6">
        <f t="shared" si="23"/>
        <v>327475.2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3520.7</v>
      </c>
      <c r="C161" s="64">
        <f>9501+4181.1</f>
        <v>13682.1</v>
      </c>
      <c r="D161" s="64">
        <f>49.9+127.8+39.6+53.8+398.2+8.4+32.5+231.9+89.8+103.6+52.4+19.2+179.2+118</f>
        <v>1504.3</v>
      </c>
      <c r="E161" s="17"/>
      <c r="F161" s="6">
        <f t="shared" si="21"/>
        <v>42.727298548584095</v>
      </c>
      <c r="G161" s="6">
        <f t="shared" si="22"/>
        <v>10.994657252907082</v>
      </c>
      <c r="H161" s="6">
        <f t="shared" si="24"/>
        <v>2016.3999999999999</v>
      </c>
      <c r="I161" s="6">
        <f t="shared" si="23"/>
        <v>12177.800000000001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640.1</v>
      </c>
      <c r="C163" s="64">
        <v>2118.3</v>
      </c>
      <c r="D163" s="64">
        <f>394.4</f>
        <v>394.4</v>
      </c>
      <c r="E163" s="17"/>
      <c r="F163" s="6">
        <f>D163/B163*100</f>
        <v>61.61537259803155</v>
      </c>
      <c r="G163" s="6">
        <f t="shared" si="22"/>
        <v>18.618703677477217</v>
      </c>
      <c r="H163" s="6">
        <f t="shared" si="24"/>
        <v>245.70000000000005</v>
      </c>
      <c r="I163" s="6">
        <f t="shared" si="23"/>
        <v>1723.9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586355.4</v>
      </c>
      <c r="C166" s="87">
        <f>C149+C157+C161+C162+C158+C165+C164+C159+C163+C160</f>
        <v>1807905.1000000003</v>
      </c>
      <c r="D166" s="87">
        <f>D149+D157+D161+D162+D158+D165+D164+D159+D163+D160</f>
        <v>331878.8999999999</v>
      </c>
      <c r="E166" s="22"/>
      <c r="F166" s="3">
        <f>D166/B166*100</f>
        <v>56.60029736231642</v>
      </c>
      <c r="G166" s="3">
        <f t="shared" si="22"/>
        <v>18.357097394105466</v>
      </c>
      <c r="H166" s="3">
        <f>B166-D166</f>
        <v>254476.50000000012</v>
      </c>
      <c r="I166" s="3">
        <f t="shared" si="23"/>
        <v>1476026.2000000004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320007.79999999993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320007.79999999993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2016-03-31T09:03:26Z</cp:lastPrinted>
  <dcterms:created xsi:type="dcterms:W3CDTF">2000-06-20T04:48:00Z</dcterms:created>
  <dcterms:modified xsi:type="dcterms:W3CDTF">2016-04-19T05:06:00Z</dcterms:modified>
  <cp:category/>
  <cp:version/>
  <cp:contentType/>
  <cp:contentStatus/>
</cp:coreProperties>
</file>